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<sst xmlns="http://schemas.openxmlformats.org/spreadsheetml/2006/main" count="86" uniqueCount="68">
  <si>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</si>
  <si>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</si>
  <si>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</si>
  <si>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</si>
  <si>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</si>
  <si>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</si>
  <si>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</si>
  <si>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</si>
  <si>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</si>
  <si>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</si>
  <si>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</si>
  <si>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</si>
  <si>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</si>
  <si>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</si>
  <si>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</si>
  <si>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</si>
  <si>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</si>
  <si>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</si>
  <si>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</si>
  <si>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</si>
  <si>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</si>
  <si>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</si>
  <si>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</si>
  <si>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</si>
  <si>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</si>
  <si>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</si>
  <si>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</si>
  <si>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</si>
  <si>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</si>
  <si>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</si>
  <si>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</si>
  <si>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</si>
  <si>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</si>
  <si>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</si>
  <si>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</si>
  <si>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</si>
  <si>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</si>
  <si>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</si>
  <si>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</si>
  <si>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</si>
  <si>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</si>
  <si>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</si>
  <si>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</si>
  <si>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</si>
  <si>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</si>
  <si>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</si>
  <si>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</si>
  <si>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</si>
  <si>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</si>
  <si>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</si>
  <si>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</si>
  <si>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</si>
  <si>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</si>
  <si>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</si>
  <si>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</si>
  <si>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</si>
  <si>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</si>
  <si>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</si>
  <si>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</si>
  <si>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</si>
  <si>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</si>
  <si>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</si>
  <si>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</si>
  <si>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</si>
  <si>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</si>
  <si>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</si>
  <si>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от "30" июля 2015г.</t>
  </si>
  <si>
    <t>муниципального района Сергиевский № 61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</si>
</sst>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6" fillId="13" borderId="10" xfId="0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16" fillId="1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4" sqref="G4:K4"/>
    </sheetView>
  </sheetViews>
  <sheetFormatPr defaultColWidth="9.00390625" defaultRowHeight="12.75"/>
  <cols>
    <col min="1" max="1" width="4.375" style="33" customWidth="1"/>
    <col min="2" max="2" width="39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64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67</v>
      </c>
      <c r="H3" s="64"/>
      <c r="I3" s="64"/>
      <c r="J3" s="64"/>
      <c r="K3" s="64"/>
    </row>
    <row r="4" spans="6:11" ht="15.75">
      <c r="F4" s="34"/>
      <c r="G4" s="64" t="s">
        <v>66</v>
      </c>
      <c r="H4" s="64"/>
      <c r="I4" s="64"/>
      <c r="J4" s="64"/>
      <c r="K4" s="64"/>
    </row>
    <row r="6" spans="2:10" ht="18.75">
      <c r="B6" s="65" t="s">
        <v>65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1" t="s">
        <v>49</v>
      </c>
      <c r="J10" s="72" t="s">
        <v>50</v>
      </c>
      <c r="K10" s="72" t="s">
        <v>51</v>
      </c>
    </row>
    <row r="11" spans="1:11" ht="51.75" customHeight="1">
      <c r="A11" s="43" t="s">
        <v>52</v>
      </c>
      <c r="B11" s="43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3" t="s">
        <v>58</v>
      </c>
      <c r="J11" s="73"/>
      <c r="K11" s="73"/>
    </row>
    <row r="12" spans="1:11" ht="41.25" customHeight="1">
      <c r="A12" s="44"/>
      <c r="B12" s="45"/>
      <c r="C12" s="74"/>
      <c r="D12" s="74"/>
      <c r="E12" s="74"/>
      <c r="F12" s="74"/>
      <c r="G12" s="71"/>
      <c r="H12" s="74"/>
      <c r="I12" s="44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49">
        <f>'[2]2015 доходы'!$BE$38</f>
        <v>9762.66161</v>
      </c>
      <c r="D14" s="28">
        <v>32295.92625</v>
      </c>
      <c r="E14" s="28">
        <v>5246.159</v>
      </c>
      <c r="F14" s="49">
        <f>SUM(C14:E14)</f>
        <v>47304.74686</v>
      </c>
      <c r="G14" s="49">
        <f>51028.88594+30.1</f>
        <v>51058.98594</v>
      </c>
      <c r="H14" s="49">
        <f>F14-G14</f>
        <v>-3754.2390799999994</v>
      </c>
      <c r="I14" s="49">
        <f>J14+H14</f>
        <v>-0.030554999998912535</v>
      </c>
      <c r="J14" s="49">
        <f>(D14+E14)*0.1</f>
        <v>3754.2085250000005</v>
      </c>
      <c r="K14" s="47">
        <f>IF(F14-G14&gt;0,0,IF(F14-G14&lt;0,-(J14+H14)))</f>
        <v>0.030554999998912535</v>
      </c>
    </row>
    <row r="15" spans="1:11" s="1" customFormat="1" ht="18.75" customHeight="1">
      <c r="A15" s="38">
        <v>2</v>
      </c>
      <c r="B15" s="26" t="s">
        <v>21</v>
      </c>
      <c r="C15" s="49">
        <f>'[2]2015 доходы'!$L$38</f>
        <v>1024.75623</v>
      </c>
      <c r="D15" s="28">
        <v>993.7836</v>
      </c>
      <c r="E15" s="28">
        <v>33.536</v>
      </c>
      <c r="F15" s="49">
        <f aca="true" t="shared" si="0" ref="F15:F30">SUM(C15:E15)</f>
        <v>2052.0758299999998</v>
      </c>
      <c r="G15" s="49">
        <f>2928.76843+174.7</f>
        <v>3103.46843</v>
      </c>
      <c r="H15" s="49">
        <f aca="true" t="shared" si="1" ref="H15:H30">F15-G15</f>
        <v>-1051.3926000000001</v>
      </c>
      <c r="I15" s="49">
        <f>J15+H15</f>
        <v>-1000.0266200000001</v>
      </c>
      <c r="J15" s="49">
        <f>(D15+E15)*0.05</f>
        <v>51.36598000000001</v>
      </c>
      <c r="K15" s="47">
        <f aca="true" t="shared" si="2" ref="K15:K30">IF(F15-G15&gt;0,0,IF(F15-G15&lt;0,-(J15+H15)))</f>
        <v>1000.0266200000001</v>
      </c>
    </row>
    <row r="16" spans="1:11" s="1" customFormat="1" ht="18.75" customHeight="1">
      <c r="A16" s="38">
        <v>3</v>
      </c>
      <c r="B16" s="26" t="s">
        <v>22</v>
      </c>
      <c r="C16" s="49">
        <f>'[2]2015 доходы'!$O$38</f>
        <v>552.91002</v>
      </c>
      <c r="D16" s="28">
        <v>1860.27431</v>
      </c>
      <c r="E16" s="28">
        <v>84.44774</v>
      </c>
      <c r="F16" s="49">
        <f t="shared" si="0"/>
        <v>2497.63207</v>
      </c>
      <c r="G16" s="49">
        <f>2695.48241+96.6</f>
        <v>2792.08241</v>
      </c>
      <c r="H16" s="49">
        <f t="shared" si="1"/>
        <v>-294.45033999999987</v>
      </c>
      <c r="I16" s="49">
        <f aca="true" t="shared" si="3" ref="I16:I30">J16+H16</f>
        <v>-99.97813499999984</v>
      </c>
      <c r="J16" s="49">
        <f>(D16+E16)*0.1</f>
        <v>194.47220500000003</v>
      </c>
      <c r="K16" s="47">
        <f t="shared" si="2"/>
        <v>99.97813499999984</v>
      </c>
    </row>
    <row r="17" spans="1:11" s="1" customFormat="1" ht="18.75" customHeight="1">
      <c r="A17" s="38">
        <v>4</v>
      </c>
      <c r="B17" s="26" t="s">
        <v>23</v>
      </c>
      <c r="C17" s="49">
        <f>'[2]2015 доходы'!$R$38</f>
        <v>1724.4712800000002</v>
      </c>
      <c r="D17" s="28">
        <v>2719.75624</v>
      </c>
      <c r="E17" s="28">
        <v>219.81303</v>
      </c>
      <c r="F17" s="49">
        <f t="shared" si="0"/>
        <v>4664.040550000001</v>
      </c>
      <c r="G17" s="49">
        <f>5038.9212+29.1</f>
        <v>5068.0212</v>
      </c>
      <c r="H17" s="49">
        <f t="shared" si="1"/>
        <v>-403.9806499999995</v>
      </c>
      <c r="I17" s="49">
        <f t="shared" si="3"/>
        <v>-110.0237229999995</v>
      </c>
      <c r="J17" s="49">
        <f>(D17+E17)*0.1</f>
        <v>293.956927</v>
      </c>
      <c r="K17" s="47">
        <f t="shared" si="2"/>
        <v>110.0237229999995</v>
      </c>
    </row>
    <row r="18" spans="1:11" s="1" customFormat="1" ht="18.75" customHeight="1">
      <c r="A18" s="38">
        <v>5</v>
      </c>
      <c r="B18" s="26" t="s">
        <v>24</v>
      </c>
      <c r="C18" s="49">
        <f>'[2]2015 доходы'!$U$38</f>
        <v>2770.6511</v>
      </c>
      <c r="D18" s="28">
        <v>1570.28709</v>
      </c>
      <c r="E18" s="28">
        <v>127.93572</v>
      </c>
      <c r="F18" s="49">
        <f t="shared" si="0"/>
        <v>4468.87391</v>
      </c>
      <c r="G18" s="49">
        <f>5403.71242+200.1</f>
        <v>5603.81242</v>
      </c>
      <c r="H18" s="49">
        <f t="shared" si="1"/>
        <v>-1134.93851</v>
      </c>
      <c r="I18" s="49">
        <f t="shared" si="3"/>
        <v>-1050.0273694999998</v>
      </c>
      <c r="J18" s="49">
        <f>(D18+E18)*0.05</f>
        <v>84.9111405</v>
      </c>
      <c r="K18" s="47">
        <f>IF(F18-G18&gt;0,0,IF(F18-G18&lt;0,-(J18+H18)))</f>
        <v>1050.0273694999998</v>
      </c>
    </row>
    <row r="19" spans="1:11" s="1" customFormat="1" ht="18.75" customHeight="1">
      <c r="A19" s="38">
        <v>6</v>
      </c>
      <c r="B19" s="26" t="s">
        <v>25</v>
      </c>
      <c r="C19" s="49">
        <f>'[2]2015 доходы'!$X$38</f>
        <v>1744.0798799999998</v>
      </c>
      <c r="D19" s="28">
        <v>1957.58982</v>
      </c>
      <c r="E19" s="28">
        <v>143.1948</v>
      </c>
      <c r="F19" s="49">
        <f t="shared" si="0"/>
        <v>3844.8644999999997</v>
      </c>
      <c r="G19" s="49">
        <f>5389.20177+185.7</f>
        <v>5574.9017699999995</v>
      </c>
      <c r="H19" s="49">
        <f t="shared" si="1"/>
        <v>-1730.0372699999998</v>
      </c>
      <c r="I19" s="49">
        <f t="shared" si="3"/>
        <v>-1519.9588079999999</v>
      </c>
      <c r="J19" s="49">
        <f>(D19+E19)*0.1</f>
        <v>210.078462</v>
      </c>
      <c r="K19" s="47">
        <f t="shared" si="2"/>
        <v>1519.9588079999999</v>
      </c>
    </row>
    <row r="20" spans="1:11" s="1" customFormat="1" ht="18.75" customHeight="1">
      <c r="A20" s="38">
        <v>7</v>
      </c>
      <c r="B20" s="26" t="s">
        <v>26</v>
      </c>
      <c r="C20" s="49">
        <f>'[2]2015 доходы'!$AA$38</f>
        <v>2566.33771</v>
      </c>
      <c r="D20" s="28">
        <v>1903.52276</v>
      </c>
      <c r="E20" s="28">
        <v>132.24</v>
      </c>
      <c r="F20" s="49">
        <f t="shared" si="0"/>
        <v>4602.100469999999</v>
      </c>
      <c r="G20" s="49">
        <f>4946.09362+149.4</f>
        <v>5095.493619999999</v>
      </c>
      <c r="H20" s="49">
        <f t="shared" si="1"/>
        <v>-493.3931499999999</v>
      </c>
      <c r="I20" s="49">
        <f t="shared" si="3"/>
        <v>-289.81687399999987</v>
      </c>
      <c r="J20" s="49">
        <f>(D20+E20)*0.1</f>
        <v>203.576276</v>
      </c>
      <c r="K20" s="48">
        <f>IF(F20-G20&gt;0,0,IF(F20-G20&lt;0,-(J20+H20)))</f>
        <v>289.81687399999987</v>
      </c>
    </row>
    <row r="21" spans="1:11" s="1" customFormat="1" ht="18.75" customHeight="1">
      <c r="A21" s="38">
        <v>8</v>
      </c>
      <c r="B21" s="26" t="s">
        <v>27</v>
      </c>
      <c r="C21" s="49">
        <f>'[2]2015 доходы'!$AD$38</f>
        <v>1452.60046</v>
      </c>
      <c r="D21" s="28">
        <v>1596.42142</v>
      </c>
      <c r="E21" s="28">
        <v>56.96358</v>
      </c>
      <c r="F21" s="49">
        <f t="shared" si="0"/>
        <v>3105.9854600000003</v>
      </c>
      <c r="G21" s="49">
        <f>5629.80023-291.1</f>
        <v>5338.7002299999995</v>
      </c>
      <c r="H21" s="49">
        <f t="shared" si="1"/>
        <v>-2232.714769999999</v>
      </c>
      <c r="I21" s="49">
        <f t="shared" si="3"/>
        <v>-2150.045519999999</v>
      </c>
      <c r="J21" s="49">
        <f>(D21+E21)*0.05</f>
        <v>82.66925</v>
      </c>
      <c r="K21" s="47">
        <f t="shared" si="2"/>
        <v>2150.045519999999</v>
      </c>
    </row>
    <row r="22" spans="1:11" s="1" customFormat="1" ht="18.75" customHeight="1">
      <c r="A22" s="38">
        <v>9</v>
      </c>
      <c r="B22" s="26" t="s">
        <v>28</v>
      </c>
      <c r="C22" s="49">
        <f>'[2]2015 доходы'!$AG$38</f>
        <v>2147.56682</v>
      </c>
      <c r="D22" s="28">
        <v>1091.55296</v>
      </c>
      <c r="E22" s="28">
        <v>23.04</v>
      </c>
      <c r="F22" s="49">
        <f t="shared" si="0"/>
        <v>3262.15978</v>
      </c>
      <c r="G22" s="49">
        <f>3492.81784-174.9</f>
        <v>3317.91784</v>
      </c>
      <c r="H22" s="49">
        <f t="shared" si="1"/>
        <v>-55.758060000000114</v>
      </c>
      <c r="I22" s="49">
        <f t="shared" si="3"/>
        <v>-0.028412000000116677</v>
      </c>
      <c r="J22" s="49">
        <f>(D22+E22)*0.05</f>
        <v>55.729648</v>
      </c>
      <c r="K22" s="47">
        <f t="shared" si="2"/>
        <v>0.028412000000116677</v>
      </c>
    </row>
    <row r="23" spans="1:11" s="1" customFormat="1" ht="18.75" customHeight="1">
      <c r="A23" s="38">
        <v>10</v>
      </c>
      <c r="B23" s="26" t="s">
        <v>29</v>
      </c>
      <c r="C23" s="49">
        <f>'[2]2015 доходы'!$AJ$38</f>
        <v>1560.7863699999998</v>
      </c>
      <c r="D23" s="28">
        <v>709.21264</v>
      </c>
      <c r="E23" s="28">
        <v>205.15797</v>
      </c>
      <c r="F23" s="49">
        <f t="shared" si="0"/>
        <v>2475.1569799999997</v>
      </c>
      <c r="G23" s="49">
        <f>3722.17289+298.7</f>
        <v>4020.8728899999996</v>
      </c>
      <c r="H23" s="49">
        <f t="shared" si="1"/>
        <v>-1545.71591</v>
      </c>
      <c r="I23" s="49">
        <f t="shared" si="3"/>
        <v>-1499.9973794999999</v>
      </c>
      <c r="J23" s="49">
        <f>(D23+E23)*0.05</f>
        <v>45.7185305</v>
      </c>
      <c r="K23" s="47">
        <f t="shared" si="2"/>
        <v>1499.9973794999999</v>
      </c>
    </row>
    <row r="24" spans="1:11" s="1" customFormat="1" ht="18.75" customHeight="1">
      <c r="A24" s="38">
        <v>11</v>
      </c>
      <c r="B24" s="26" t="s">
        <v>30</v>
      </c>
      <c r="C24" s="49">
        <f>'[2]2015 доходы'!$AM$38</f>
        <v>2140.55503</v>
      </c>
      <c r="D24" s="28">
        <v>1488.26404</v>
      </c>
      <c r="E24" s="28">
        <v>227.116</v>
      </c>
      <c r="F24" s="49">
        <f t="shared" si="0"/>
        <v>3855.93507</v>
      </c>
      <c r="G24" s="49">
        <f>5811.59964-414.1</f>
        <v>5397.49964</v>
      </c>
      <c r="H24" s="49">
        <f t="shared" si="1"/>
        <v>-1541.56457</v>
      </c>
      <c r="I24" s="49">
        <f>J24+H24</f>
        <v>-1370.026566</v>
      </c>
      <c r="J24" s="49">
        <f>(D24+E24)*0.1</f>
        <v>171.538004</v>
      </c>
      <c r="K24" s="47">
        <f t="shared" si="2"/>
        <v>1370.026566</v>
      </c>
    </row>
    <row r="25" spans="1:11" s="1" customFormat="1" ht="18.75" customHeight="1">
      <c r="A25" s="38">
        <v>12</v>
      </c>
      <c r="B25" s="26" t="s">
        <v>31</v>
      </c>
      <c r="C25" s="49">
        <f>'[2]2015 доходы'!$AP$38</f>
        <v>1251.69162</v>
      </c>
      <c r="D25" s="28">
        <v>653.67266</v>
      </c>
      <c r="E25" s="28">
        <v>17.76281</v>
      </c>
      <c r="F25" s="49">
        <f t="shared" si="0"/>
        <v>1923.12709</v>
      </c>
      <c r="G25" s="49">
        <f>1914.02917+260+76.2</f>
        <v>2250.2291699999996</v>
      </c>
      <c r="H25" s="49">
        <f t="shared" si="1"/>
        <v>-327.10207999999966</v>
      </c>
      <c r="I25" s="49">
        <f t="shared" si="3"/>
        <v>-259.95853299999965</v>
      </c>
      <c r="J25" s="49">
        <f>(D25+E25)*0.1</f>
        <v>67.143547</v>
      </c>
      <c r="K25" s="47">
        <f t="shared" si="2"/>
        <v>259.95853299999965</v>
      </c>
    </row>
    <row r="26" spans="1:11" s="1" customFormat="1" ht="18.75" customHeight="1">
      <c r="A26" s="38">
        <v>13</v>
      </c>
      <c r="B26" s="26" t="s">
        <v>32</v>
      </c>
      <c r="C26" s="49">
        <f>'[2]2015 доходы'!$AS$38</f>
        <v>3132.5528299999996</v>
      </c>
      <c r="D26" s="28">
        <v>1763.65152</v>
      </c>
      <c r="E26" s="28">
        <v>110.1076</v>
      </c>
      <c r="F26" s="49">
        <f t="shared" si="0"/>
        <v>5006.31195</v>
      </c>
      <c r="G26" s="49">
        <f>5075.19025+24.9</f>
        <v>5100.090249999999</v>
      </c>
      <c r="H26" s="49">
        <f t="shared" si="1"/>
        <v>-93.77829999999904</v>
      </c>
      <c r="I26" s="49">
        <f t="shared" si="3"/>
        <v>-0.09034399999903542</v>
      </c>
      <c r="J26" s="49">
        <f>(D26+E26)*0.05</f>
        <v>93.687956</v>
      </c>
      <c r="K26" s="47">
        <f t="shared" si="2"/>
        <v>0.09034399999903542</v>
      </c>
    </row>
    <row r="27" spans="1:11" s="1" customFormat="1" ht="18.75" customHeight="1">
      <c r="A27" s="38">
        <v>14</v>
      </c>
      <c r="B27" s="26" t="s">
        <v>33</v>
      </c>
      <c r="C27" s="49">
        <f>'[2]2015 доходы'!$AV$38</f>
        <v>6793.07781</v>
      </c>
      <c r="D27" s="28">
        <v>20159.66697</v>
      </c>
      <c r="E27" s="28">
        <v>559.39</v>
      </c>
      <c r="F27" s="49">
        <f t="shared" si="0"/>
        <v>27512.134779999997</v>
      </c>
      <c r="G27" s="49">
        <f>37455.14135+58.3-5.4</f>
        <v>37508.04135</v>
      </c>
      <c r="H27" s="49">
        <f t="shared" si="1"/>
        <v>-9995.906570000003</v>
      </c>
      <c r="I27" s="49">
        <f t="shared" si="3"/>
        <v>-8959.953721500004</v>
      </c>
      <c r="J27" s="49">
        <f>(D27+E27)*0.05</f>
        <v>1035.9528484999998</v>
      </c>
      <c r="K27" s="47">
        <f t="shared" si="2"/>
        <v>8959.953721500004</v>
      </c>
    </row>
    <row r="28" spans="1:11" s="1" customFormat="1" ht="18.75" customHeight="1">
      <c r="A28" s="38">
        <v>15</v>
      </c>
      <c r="B28" s="26" t="s">
        <v>34</v>
      </c>
      <c r="C28" s="49">
        <f>'[2]2015 доходы'!$AY$38</f>
        <v>3490.76054</v>
      </c>
      <c r="D28" s="28">
        <v>6039.65179</v>
      </c>
      <c r="E28" s="28">
        <v>305.94</v>
      </c>
      <c r="F28" s="49">
        <f t="shared" si="0"/>
        <v>9836.35233</v>
      </c>
      <c r="G28" s="49">
        <v>9804.84465</v>
      </c>
      <c r="H28" s="49">
        <f t="shared" si="1"/>
        <v>31.50768000000062</v>
      </c>
      <c r="I28" s="49">
        <f t="shared" si="3"/>
        <v>666.0668590000006</v>
      </c>
      <c r="J28" s="49">
        <f>(D28+E28)*0.1</f>
        <v>634.559179</v>
      </c>
      <c r="K28" s="47">
        <f t="shared" si="2"/>
        <v>0</v>
      </c>
    </row>
    <row r="29" spans="1:11" s="1" customFormat="1" ht="18.75" customHeight="1">
      <c r="A29" s="38">
        <v>16</v>
      </c>
      <c r="B29" s="26" t="s">
        <v>35</v>
      </c>
      <c r="C29" s="49">
        <f>'[2]2015 доходы'!$BB$38</f>
        <v>6989.46506</v>
      </c>
      <c r="D29" s="28">
        <v>6143.91962</v>
      </c>
      <c r="E29" s="28">
        <v>708.494</v>
      </c>
      <c r="F29" s="49">
        <f t="shared" si="0"/>
        <v>13841.87868</v>
      </c>
      <c r="G29" s="49">
        <v>13089.33385</v>
      </c>
      <c r="H29" s="49">
        <f t="shared" si="1"/>
        <v>752.5448299999989</v>
      </c>
      <c r="I29" s="49">
        <f t="shared" si="3"/>
        <v>1095.1655109999988</v>
      </c>
      <c r="J29" s="49">
        <f>(D29+E29)*0.05</f>
        <v>342.620681</v>
      </c>
      <c r="K29" s="47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49">
        <f>'[2]2015 доходы'!$BH$38</f>
        <v>2148.07563</v>
      </c>
      <c r="D30" s="28">
        <v>1801.44954</v>
      </c>
      <c r="E30" s="28">
        <v>197.53</v>
      </c>
      <c r="F30" s="49">
        <f t="shared" si="0"/>
        <v>4147.05517</v>
      </c>
      <c r="G30" s="49">
        <f>5157.5779+79.4</f>
        <v>5236.9779</v>
      </c>
      <c r="H30" s="49">
        <f t="shared" si="1"/>
        <v>-1089.9227300000002</v>
      </c>
      <c r="I30" s="49">
        <f t="shared" si="3"/>
        <v>-890.0247760000002</v>
      </c>
      <c r="J30" s="49">
        <f>(D30+E30)*0.1</f>
        <v>199.89795400000003</v>
      </c>
      <c r="K30" s="47">
        <f t="shared" si="2"/>
        <v>890.0247760000002</v>
      </c>
    </row>
    <row r="31" spans="1:11" ht="23.25" customHeight="1">
      <c r="A31" s="39"/>
      <c r="B31" s="46" t="s">
        <v>62</v>
      </c>
      <c r="C31" s="50">
        <f>SUM(C14:C30)</f>
        <v>51253.00000000001</v>
      </c>
      <c r="D31" s="50">
        <f aca="true" t="shared" si="4" ref="D31:J31">SUM(D14:D30)</f>
        <v>84748.60323000001</v>
      </c>
      <c r="E31" s="50">
        <f>SUM(E14:E30)</f>
        <v>8398.82825</v>
      </c>
      <c r="F31" s="50">
        <f>SUM(F14:F30)</f>
        <v>144400.43148</v>
      </c>
      <c r="G31" s="50">
        <f>SUM(G14:G30)</f>
        <v>169361.27355999994</v>
      </c>
      <c r="H31" s="50">
        <f t="shared" si="4"/>
        <v>-24960.842079999995</v>
      </c>
      <c r="I31" s="50">
        <f t="shared" si="4"/>
        <v>-17438.754966499997</v>
      </c>
      <c r="J31" s="50">
        <f t="shared" si="4"/>
        <v>7522.087113500001</v>
      </c>
      <c r="K31" s="50">
        <f>SUM(K14:K30)</f>
        <v>19199.987336499995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2015-07-23T04:35:59Z</cp:lastPrinted>
  <dcterms:created xsi:type="dcterms:W3CDTF">1998-09-07T09:31:30Z</dcterms:created>
  <dcterms:modified xsi:type="dcterms:W3CDTF">2015-07-31T05:22:34Z</dcterms:modified>
  <cp:category/>
  <cp:version/>
  <cp:contentType/>
  <cp:contentStatus/>
</cp:coreProperties>
</file>